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676" yWindow="320" windowWidth="19260" windowHeight="10860" activeTab="0"/>
  </bookViews>
  <sheets>
    <sheet name="Sheet1" sheetId="1" r:id="rId1"/>
    <sheet name="Sheet2" sheetId="2" r:id="rId2"/>
  </sheets>
  <definedNames/>
  <calcPr fullCalcOnLoad="1"/>
</workbook>
</file>

<file path=xl/sharedStrings.xml><?xml version="1.0" encoding="utf-8"?>
<sst xmlns="http://schemas.openxmlformats.org/spreadsheetml/2006/main" count="63" uniqueCount="52">
  <si>
    <t>RESIDENTIAL - SINGLE HOMES</t>
  </si>
  <si>
    <t>WATER CHARGES</t>
  </si>
  <si>
    <t>IC</t>
  </si>
  <si>
    <t>NC</t>
  </si>
  <si>
    <t>OS</t>
  </si>
  <si>
    <t>DAILY</t>
  </si>
  <si>
    <t>1ST 5 CCF</t>
  </si>
  <si>
    <t>OVER 5 CCF</t>
  </si>
  <si>
    <t>SEWER CHARGES</t>
  </si>
  <si>
    <t>OTHER</t>
  </si>
  <si>
    <t>STORMWATER</t>
  </si>
  <si>
    <t>CLEAN RIVER</t>
  </si>
  <si>
    <t>CCF</t>
  </si>
  <si>
    <t>RATE</t>
  </si>
  <si>
    <t>Complete the following information to calculate charges:</t>
  </si>
  <si>
    <t>Choose the municipality where the home is located:</t>
  </si>
  <si>
    <t>Enter the number of days in the billing cycle:</t>
  </si>
  <si>
    <t>Enter the number of CCF (hundred Cubic Feet) used:</t>
  </si>
  <si>
    <t>Days</t>
  </si>
  <si>
    <t xml:space="preserve">Daily charge based on meter size installed at the home.  Most single family dwellings use a 5/8" meter and charges are calculated based on this size.  </t>
  </si>
  <si>
    <t>Service Charge to be Billed:</t>
  </si>
  <si>
    <t>Billed Charge at second rate:</t>
  </si>
  <si>
    <t>Billed Charge at first rate:</t>
  </si>
  <si>
    <t>Two rate steps are billed.  The first 5 CCF in 30 days billed at lower rate.  Remaining usage will be billed at second rate.</t>
  </si>
  <si>
    <t>TOTAL WATER CHARGES</t>
  </si>
  <si>
    <r>
      <t xml:space="preserve">748 gallons equals 1 CCF:   </t>
    </r>
    <r>
      <rPr>
        <sz val="10"/>
        <rFont val="Arial"/>
        <family val="0"/>
      </rPr>
      <t xml:space="preserve"> (example: 50,000 gallons divided by 748 equals 67 CCF)</t>
    </r>
  </si>
  <si>
    <t>STORMWATER CHARGE:</t>
  </si>
  <si>
    <t>SERVICE
CHARGE:</t>
  </si>
  <si>
    <t>USAGE
CHARGE:</t>
  </si>
  <si>
    <t>Daily fee based on non-penetrable area (pavement and rooftops) which runoff into storm drains.  A single family dwelling is billed
1 ERU (Equivalent Residential Unit). Columbus homes only.</t>
  </si>
  <si>
    <t>Stormwater Charge to be Billed:</t>
  </si>
  <si>
    <t>Water Consumption to be Billed:</t>
  </si>
  <si>
    <t>WATER BILL CHARGES</t>
  </si>
  <si>
    <t>SEWER BILL CHARGES</t>
  </si>
  <si>
    <t>USAGE CCF</t>
  </si>
  <si>
    <r>
      <t xml:space="preserve">Revenues provide operating costs for two 24-hour wastewater treatment plants, sewer maintenance, and a capital improvement program. </t>
    </r>
    <r>
      <rPr>
        <i/>
        <u val="single"/>
        <sz val="10"/>
        <rFont val="Arial"/>
        <family val="2"/>
      </rPr>
      <t>Daily Charge</t>
    </r>
    <r>
      <rPr>
        <sz val="10"/>
        <rFont val="Arial"/>
        <family val="0"/>
      </rPr>
      <t xml:space="preserve">  </t>
    </r>
  </si>
  <si>
    <t>Charges for sanitary sewer usage are based on water consumption.</t>
  </si>
  <si>
    <t>Sewer Consumption to be Billed:</t>
  </si>
  <si>
    <t>TOTAL SEWER CHARGES</t>
  </si>
  <si>
    <t>CLEAN RIVER SURCHARGE (SANITARY SEWER)</t>
  </si>
  <si>
    <t>EFFECTIVE
January 2006</t>
  </si>
  <si>
    <r>
      <t xml:space="preserve">Will reduce pollution from sewer overflows in waterways, reduce sewer backups into homes and bring the department into compliance with two consent orders with the State of Ohio.  </t>
    </r>
    <r>
      <rPr>
        <u val="single"/>
        <sz val="10"/>
        <rFont val="Arial"/>
        <family val="2"/>
      </rPr>
      <t xml:space="preserve">Daily charge billed by ERU (Equivalent Residential Unit) described in the </t>
    </r>
    <r>
      <rPr>
        <i/>
        <u val="single"/>
        <sz val="10"/>
        <rFont val="Arial"/>
        <family val="2"/>
      </rPr>
      <t>Stormwater section.</t>
    </r>
  </si>
  <si>
    <t>DISCLAIMER:</t>
  </si>
  <si>
    <t>Suburb</t>
  </si>
  <si>
    <t>Dollar</t>
  </si>
  <si>
    <t>Water</t>
  </si>
  <si>
    <t>Sewer</t>
  </si>
  <si>
    <t>The above calculations are estimates only.  Actual bill charges may vary based on differences in days of service and usage.</t>
  </si>
  <si>
    <t>Surcharge</t>
  </si>
  <si>
    <t>Stormwater</t>
  </si>
  <si>
    <t>SELECT</t>
  </si>
  <si>
    <t>2023 WATER / SEWER BILL CALCULATION WORKSHEET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</si>
</sst>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quot;$&quot;#,##0.00"/>
    <numFmt numFmtId="167" formatCode="0.0000000"/>
    <numFmt numFmtId="168" formatCode="0.000000"/>
    <numFmt numFmtId="169" formatCode="&quot;$&quot;#,##0.000"/>
    <numFmt numFmtId="170" formatCode="0.0"/>
    <numFmt numFmtId="171" formatCode="&quot;$&quot;#,##0.0000"/>
  </numFmts>
  <fonts count="51">
    <font>
      <sz val="10"/>
      <name val="Arial"/>
      <family val="0"/>
    </font>
    <font>
      <b/>
      <sz val="10"/>
      <name val="Arial"/>
      <family val="2"/>
    </font>
    <font>
      <sz val="8"/>
      <name val="Arial"/>
      <family val="2"/>
    </font>
    <font>
      <u val="single"/>
      <sz val="10"/>
      <name val="Arial"/>
      <family val="2"/>
    </font>
    <font>
      <i/>
      <u val="single"/>
      <sz val="10"/>
      <name val="Arial"/>
      <family val="2"/>
    </font>
    <font>
      <b/>
      <u val="single"/>
      <sz val="10"/>
      <name val="Arial"/>
      <family val="2"/>
    </font>
    <font>
      <i/>
      <sz val="10"/>
      <name val="Arial"/>
      <family val="2"/>
    </font>
    <font>
      <b/>
      <i/>
      <sz val="10"/>
      <name val="Arial"/>
      <family val="2"/>
    </font>
    <font>
      <b/>
      <sz val="14"/>
      <name val="Arial"/>
      <family val="2"/>
    </font>
    <font>
      <b/>
      <u val="single"/>
      <sz val="12"/>
      <name val="Arial"/>
      <family val="2"/>
    </font>
    <font>
      <b/>
      <u val="double"/>
      <sz val="12"/>
      <name val="Arial"/>
      <family val="2"/>
    </font>
    <font>
      <b/>
      <i/>
      <u val="double"/>
      <sz val="12"/>
      <name val="Arial"/>
      <family val="2"/>
    </font>
    <font>
      <sz val="12"/>
      <name val="Arial"/>
      <family val="2"/>
    </font>
    <font>
      <b/>
      <sz val="12"/>
      <name val="Arial"/>
      <family val="2"/>
    </font>
    <font>
      <u val="single"/>
      <sz val="10"/>
      <color indexed="12"/>
      <name val="Arial"/>
      <family val="2"/>
    </font>
    <font>
      <u val="single"/>
      <sz val="10"/>
      <color indexed="36"/>
      <name val="Arial"/>
      <family val="2"/>
    </font>
    <font>
      <b/>
      <u val="doubleAccounting"/>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ck"/>
      <bottom>
        <color indexed="63"/>
      </bottom>
    </border>
    <border>
      <left style="thick"/>
      <right style="thick"/>
      <top style="thick"/>
      <bottom style="thick"/>
    </border>
    <border>
      <left style="thick"/>
      <right>
        <color indexed="63"/>
      </right>
      <top style="thick"/>
      <bottom style="thick"/>
    </border>
    <border>
      <left>
        <color indexed="63"/>
      </left>
      <right style="thick"/>
      <top style="thick"/>
      <bottom style="thick"/>
    </border>
    <border>
      <left>
        <color indexed="63"/>
      </left>
      <right>
        <color indexed="63"/>
      </right>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5">
    <xf numFmtId="0" fontId="0" fillId="0" borderId="0" xfId="0" applyAlignment="1">
      <alignment/>
    </xf>
    <xf numFmtId="2" fontId="0" fillId="0" borderId="0" xfId="0" applyNumberFormat="1" applyAlignment="1">
      <alignment/>
    </xf>
    <xf numFmtId="164" fontId="0" fillId="0" borderId="0" xfId="0" applyNumberFormat="1" applyAlignment="1">
      <alignment/>
    </xf>
    <xf numFmtId="165" fontId="0" fillId="0" borderId="0" xfId="0" applyNumberFormat="1" applyAlignment="1">
      <alignment/>
    </xf>
    <xf numFmtId="0" fontId="1" fillId="0" borderId="0" xfId="0" applyFont="1" applyAlignment="1">
      <alignment horizontal="center"/>
    </xf>
    <xf numFmtId="0" fontId="0" fillId="0" borderId="0" xfId="0" applyAlignment="1">
      <alignment vertical="center"/>
    </xf>
    <xf numFmtId="0" fontId="0" fillId="33" borderId="0" xfId="0" applyFill="1" applyAlignment="1">
      <alignment vertical="center"/>
    </xf>
    <xf numFmtId="0" fontId="9" fillId="33" borderId="0" xfId="0" applyFont="1" applyFill="1" applyAlignment="1">
      <alignment vertical="center"/>
    </xf>
    <xf numFmtId="0" fontId="0" fillId="33" borderId="0" xfId="0" applyFill="1" applyAlignment="1">
      <alignment horizontal="right" vertical="center"/>
    </xf>
    <xf numFmtId="0" fontId="0" fillId="33" borderId="10" xfId="0" applyFill="1" applyBorder="1" applyAlignment="1">
      <alignment horizontal="right" vertical="center"/>
    </xf>
    <xf numFmtId="0" fontId="0" fillId="33" borderId="0" xfId="0" applyFill="1" applyAlignment="1">
      <alignment/>
    </xf>
    <xf numFmtId="0" fontId="0" fillId="33" borderId="11" xfId="0" applyFill="1" applyBorder="1" applyAlignment="1">
      <alignment vertical="center"/>
    </xf>
    <xf numFmtId="0" fontId="0" fillId="33" borderId="12" xfId="0" applyFill="1" applyBorder="1" applyAlignment="1">
      <alignment vertical="center"/>
    </xf>
    <xf numFmtId="166" fontId="5" fillId="33" borderId="0" xfId="0" applyNumberFormat="1" applyFont="1" applyFill="1" applyAlignment="1">
      <alignment vertical="center"/>
    </xf>
    <xf numFmtId="166" fontId="0" fillId="33" borderId="0" xfId="0" applyNumberFormat="1" applyFill="1" applyAlignment="1">
      <alignment vertical="center"/>
    </xf>
    <xf numFmtId="166" fontId="16" fillId="33" borderId="0" xfId="0" applyNumberFormat="1" applyFont="1" applyFill="1" applyAlignment="1">
      <alignment vertical="center"/>
    </xf>
    <xf numFmtId="0" fontId="1" fillId="33" borderId="13" xfId="0" applyFont="1" applyFill="1" applyBorder="1" applyAlignment="1" applyProtection="1">
      <alignment vertical="center"/>
      <protection locked="0"/>
    </xf>
    <xf numFmtId="0" fontId="1" fillId="33" borderId="0" xfId="0" applyFont="1" applyFill="1" applyAlignment="1">
      <alignment vertical="center"/>
    </xf>
    <xf numFmtId="166" fontId="0" fillId="0" borderId="0" xfId="0" applyNumberFormat="1" applyAlignment="1">
      <alignment/>
    </xf>
    <xf numFmtId="4" fontId="0" fillId="0" borderId="0" xfId="0" applyNumberFormat="1" applyAlignment="1">
      <alignment/>
    </xf>
    <xf numFmtId="169" fontId="0" fillId="0" borderId="0" xfId="0" applyNumberFormat="1" applyAlignment="1">
      <alignment/>
    </xf>
    <xf numFmtId="4" fontId="0" fillId="0" borderId="0" xfId="0" applyNumberFormat="1" applyAlignment="1">
      <alignment horizontal="center"/>
    </xf>
    <xf numFmtId="2" fontId="44" fillId="30" borderId="1" xfId="54" applyNumberFormat="1" applyAlignment="1">
      <alignment/>
    </xf>
    <xf numFmtId="164" fontId="44" fillId="30" borderId="1" xfId="54" applyNumberFormat="1" applyAlignment="1">
      <alignment/>
    </xf>
    <xf numFmtId="2" fontId="37" fillId="27" borderId="1" xfId="40" applyNumberFormat="1" applyAlignment="1">
      <alignment/>
    </xf>
    <xf numFmtId="164" fontId="37" fillId="27" borderId="1" xfId="40" applyNumberFormat="1" applyAlignment="1">
      <alignment/>
    </xf>
    <xf numFmtId="165" fontId="44" fillId="30" borderId="1" xfId="54" applyNumberFormat="1" applyAlignment="1">
      <alignment/>
    </xf>
    <xf numFmtId="9" fontId="44" fillId="30" borderId="1" xfId="54" applyNumberFormat="1" applyAlignment="1">
      <alignment/>
    </xf>
    <xf numFmtId="10" fontId="44" fillId="30" borderId="1" xfId="54" applyNumberFormat="1" applyAlignment="1">
      <alignment/>
    </xf>
    <xf numFmtId="0" fontId="44" fillId="30" borderId="1" xfId="54" applyAlignment="1">
      <alignment/>
    </xf>
    <xf numFmtId="171" fontId="44" fillId="30" borderId="1" xfId="54" applyNumberFormat="1" applyAlignment="1">
      <alignment/>
    </xf>
    <xf numFmtId="0" fontId="10" fillId="33" borderId="0" xfId="0" applyFont="1" applyFill="1" applyAlignment="1">
      <alignment horizontal="center" vertical="center"/>
    </xf>
    <xf numFmtId="0" fontId="0" fillId="33" borderId="0" xfId="0" applyFill="1" applyAlignment="1">
      <alignment horizontal="center" vertical="center"/>
    </xf>
    <xf numFmtId="166" fontId="11" fillId="33" borderId="0" xfId="0" applyNumberFormat="1" applyFont="1" applyFill="1" applyAlignment="1">
      <alignment vertical="center"/>
    </xf>
    <xf numFmtId="0" fontId="12" fillId="33" borderId="0" xfId="0" applyFont="1" applyFill="1" applyAlignment="1">
      <alignment vertical="center"/>
    </xf>
    <xf numFmtId="0" fontId="0" fillId="33" borderId="0" xfId="0" applyFill="1" applyAlignment="1">
      <alignment vertical="center" wrapText="1"/>
    </xf>
    <xf numFmtId="0" fontId="0" fillId="33" borderId="0" xfId="0" applyFill="1" applyAlignment="1">
      <alignment vertical="center"/>
    </xf>
    <xf numFmtId="0" fontId="13" fillId="33" borderId="0" xfId="0" applyFont="1" applyFill="1" applyBorder="1" applyAlignment="1">
      <alignment horizontal="center" vertical="center"/>
    </xf>
    <xf numFmtId="0" fontId="13" fillId="33" borderId="0" xfId="0" applyFont="1" applyFill="1" applyAlignment="1">
      <alignment horizontal="center" vertical="center"/>
    </xf>
    <xf numFmtId="0" fontId="10" fillId="33" borderId="0" xfId="0" applyFont="1" applyFill="1" applyAlignment="1">
      <alignment horizontal="right" vertical="center"/>
    </xf>
    <xf numFmtId="0" fontId="0" fillId="33" borderId="0" xfId="0" applyFill="1" applyAlignment="1">
      <alignment horizontal="right" vertical="center"/>
    </xf>
    <xf numFmtId="0" fontId="1" fillId="33" borderId="0" xfId="0" applyFont="1" applyFill="1" applyAlignment="1">
      <alignment vertical="center"/>
    </xf>
    <xf numFmtId="0" fontId="1" fillId="33" borderId="0" xfId="0" applyFont="1" applyFill="1" applyAlignment="1">
      <alignment horizontal="center" vertical="center" wrapText="1"/>
    </xf>
    <xf numFmtId="0" fontId="1" fillId="33" borderId="0" xfId="0" applyFont="1" applyFill="1" applyAlignment="1">
      <alignment horizontal="right" vertical="center"/>
    </xf>
    <xf numFmtId="0" fontId="7" fillId="33" borderId="0" xfId="0" applyFont="1" applyFill="1" applyAlignment="1">
      <alignment horizontal="right" vertical="center"/>
    </xf>
    <xf numFmtId="0" fontId="9" fillId="33" borderId="0" xfId="0" applyFont="1" applyFill="1" applyAlignment="1">
      <alignment vertical="center"/>
    </xf>
    <xf numFmtId="0" fontId="1" fillId="33" borderId="14" xfId="0" applyFont="1" applyFill="1" applyBorder="1" applyAlignment="1" applyProtection="1">
      <alignment horizontal="center" vertical="center"/>
      <protection locked="0"/>
    </xf>
    <xf numFmtId="0" fontId="1" fillId="33" borderId="15" xfId="0" applyFont="1" applyFill="1" applyBorder="1" applyAlignment="1" applyProtection="1">
      <alignment horizontal="center" vertical="center"/>
      <protection locked="0"/>
    </xf>
    <xf numFmtId="0" fontId="0" fillId="33" borderId="0" xfId="0" applyFill="1" applyBorder="1" applyAlignment="1">
      <alignment vertical="center"/>
    </xf>
    <xf numFmtId="0" fontId="4" fillId="33" borderId="16" xfId="0" applyFont="1" applyFill="1" applyBorder="1" applyAlignment="1">
      <alignment horizontal="right" vertical="center"/>
    </xf>
    <xf numFmtId="0" fontId="0" fillId="33" borderId="16" xfId="0" applyFill="1" applyBorder="1" applyAlignment="1">
      <alignment vertical="center"/>
    </xf>
    <xf numFmtId="0" fontId="0" fillId="33" borderId="0" xfId="0" applyFill="1" applyBorder="1" applyAlignment="1">
      <alignment horizontal="right" vertical="center"/>
    </xf>
    <xf numFmtId="0" fontId="8" fillId="33" borderId="0" xfId="0" applyFont="1" applyFill="1" applyAlignment="1">
      <alignment horizontal="center" vertical="center"/>
    </xf>
    <xf numFmtId="0" fontId="0" fillId="0" borderId="0" xfId="0" applyAlignment="1">
      <alignment vertical="center"/>
    </xf>
    <xf numFmtId="0" fontId="6" fillId="33" borderId="0" xfId="0" applyFont="1" applyFill="1" applyAlignment="1">
      <alignment horizontal="right" vertical="center"/>
    </xf>
    <xf numFmtId="0" fontId="0" fillId="33" borderId="0" xfId="0" applyFill="1" applyAlignment="1">
      <alignment horizontal="center" vertical="center" wrapText="1"/>
    </xf>
    <xf numFmtId="0" fontId="1" fillId="33" borderId="0" xfId="0" applyFont="1" applyFill="1" applyAlignment="1">
      <alignment vertical="center" wrapText="1"/>
    </xf>
    <xf numFmtId="0" fontId="8" fillId="33" borderId="0" xfId="0" applyFont="1" applyFill="1" applyAlignment="1">
      <alignment horizontal="right" vertical="center" indent="2"/>
    </xf>
    <xf numFmtId="0" fontId="0" fillId="0" borderId="0" xfId="0" applyAlignment="1">
      <alignment horizontal="right" vertical="center" indent="2"/>
    </xf>
    <xf numFmtId="166" fontId="16" fillId="33" borderId="0" xfId="0" applyNumberFormat="1" applyFont="1" applyFill="1" applyAlignment="1">
      <alignment vertical="center"/>
    </xf>
    <xf numFmtId="0" fontId="0" fillId="0" borderId="0" xfId="0" applyAlignment="1">
      <alignment horizontal="center"/>
    </xf>
    <xf numFmtId="0" fontId="44" fillId="30" borderId="1" xfId="54" applyAlignment="1">
      <alignment horizontal="right"/>
    </xf>
    <xf numFmtId="0" fontId="1" fillId="0" borderId="0" xfId="0" applyFont="1" applyAlignment="1">
      <alignment horizontal="left"/>
    </xf>
    <xf numFmtId="0" fontId="0" fillId="0" borderId="0" xfId="0" applyAlignment="1">
      <alignment horizontal="lef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u val="none"/>
      </font>
    </dxf>
    <dxf>
      <font>
        <b val="0"/>
        <i/>
        <u val="double"/>
        <color auto="1"/>
      </font>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8"/>
  <sheetViews>
    <sheetView tabSelected="1" zoomScale="85" zoomScaleNormal="85" zoomScalePageLayoutView="0" workbookViewId="0" topLeftCell="A1">
      <selection activeCell="C47" sqref="C47:I50"/>
    </sheetView>
  </sheetViews>
  <sheetFormatPr defaultColWidth="9.140625" defaultRowHeight="12.75"/>
  <cols>
    <col min="1" max="1" width="9.140625" style="5" customWidth="1"/>
    <col min="2" max="2" width="5.57421875" style="5" customWidth="1"/>
    <col min="3" max="7" width="9.140625" style="5" customWidth="1"/>
    <col min="8" max="8" width="10.421875" style="5" customWidth="1"/>
    <col min="9" max="9" width="9.140625" style="5" customWidth="1"/>
    <col min="10" max="10" width="13.8515625" style="5" bestFit="1" customWidth="1"/>
    <col min="11" max="16384" width="9.140625" style="5" customWidth="1"/>
  </cols>
  <sheetData>
    <row r="1" spans="1:10" ht="18">
      <c r="A1" s="52" t="s">
        <v>51</v>
      </c>
      <c r="B1" s="52"/>
      <c r="C1" s="52"/>
      <c r="D1" s="52"/>
      <c r="E1" s="52"/>
      <c r="F1" s="52"/>
      <c r="G1" s="52"/>
      <c r="H1" s="52"/>
      <c r="I1" s="52"/>
      <c r="J1" s="53"/>
    </row>
    <row r="2" spans="1:10" ht="12">
      <c r="A2" s="6"/>
      <c r="B2" s="6"/>
      <c r="C2" s="6"/>
      <c r="D2" s="6"/>
      <c r="E2" s="6"/>
      <c r="F2" s="6"/>
      <c r="G2" s="6"/>
      <c r="H2" s="6"/>
      <c r="I2" s="6"/>
      <c r="J2" s="6"/>
    </row>
    <row r="3" spans="1:10" ht="15">
      <c r="A3" s="45" t="s">
        <v>14</v>
      </c>
      <c r="B3" s="45"/>
      <c r="C3" s="45"/>
      <c r="D3" s="45"/>
      <c r="E3" s="45"/>
      <c r="F3" s="45"/>
      <c r="G3" s="36"/>
      <c r="H3" s="36"/>
      <c r="I3" s="6"/>
      <c r="J3" s="6"/>
    </row>
    <row r="4" spans="1:10" ht="4.5" customHeight="1" thickBot="1">
      <c r="A4" s="7"/>
      <c r="B4" s="7"/>
      <c r="C4" s="7"/>
      <c r="D4" s="7"/>
      <c r="E4" s="7"/>
      <c r="F4" s="7"/>
      <c r="G4" s="6"/>
      <c r="H4" s="6"/>
      <c r="I4" s="6"/>
      <c r="J4" s="6"/>
    </row>
    <row r="5" spans="1:10" ht="13.5" thickBot="1" thickTop="1">
      <c r="A5" s="40" t="s">
        <v>15</v>
      </c>
      <c r="B5" s="36"/>
      <c r="C5" s="36"/>
      <c r="D5" s="36"/>
      <c r="E5" s="36"/>
      <c r="F5" s="48"/>
      <c r="G5" s="46" t="s">
        <v>50</v>
      </c>
      <c r="H5" s="47"/>
      <c r="I5" s="6"/>
      <c r="J5" s="6"/>
    </row>
    <row r="6" spans="1:10" ht="4.5" customHeight="1" thickBot="1" thickTop="1">
      <c r="A6" s="6"/>
      <c r="B6" s="8"/>
      <c r="C6" s="8"/>
      <c r="D6" s="8"/>
      <c r="E6" s="8"/>
      <c r="F6" s="9"/>
      <c r="G6" s="10"/>
      <c r="H6" s="10"/>
      <c r="I6" s="6"/>
      <c r="J6" s="6"/>
    </row>
    <row r="7" spans="1:10" ht="13.5" thickBot="1" thickTop="1">
      <c r="A7" s="6"/>
      <c r="B7" s="40" t="s">
        <v>16</v>
      </c>
      <c r="C7" s="40"/>
      <c r="D7" s="40"/>
      <c r="E7" s="40"/>
      <c r="F7" s="51"/>
      <c r="G7" s="16">
        <v>90</v>
      </c>
      <c r="H7" s="11" t="s">
        <v>18</v>
      </c>
      <c r="I7" s="6"/>
      <c r="J7" s="6"/>
    </row>
    <row r="8" spans="1:10" ht="4.5" customHeight="1" thickBot="1" thickTop="1">
      <c r="A8" s="6"/>
      <c r="B8" s="8"/>
      <c r="C8" s="8"/>
      <c r="D8" s="8"/>
      <c r="E8" s="8"/>
      <c r="F8" s="9"/>
      <c r="G8" s="10"/>
      <c r="H8" s="10"/>
      <c r="I8" s="6"/>
      <c r="J8" s="6"/>
    </row>
    <row r="9" spans="1:10" ht="13.5" thickBot="1" thickTop="1">
      <c r="A9" s="40" t="s">
        <v>17</v>
      </c>
      <c r="B9" s="36"/>
      <c r="C9" s="36"/>
      <c r="D9" s="36"/>
      <c r="E9" s="36"/>
      <c r="F9" s="48"/>
      <c r="G9" s="16">
        <v>30</v>
      </c>
      <c r="H9" s="11" t="s">
        <v>12</v>
      </c>
      <c r="I9" s="6"/>
      <c r="J9" s="6"/>
    </row>
    <row r="10" spans="1:10" ht="13.5" thickBot="1" thickTop="1">
      <c r="A10" s="49" t="s">
        <v>25</v>
      </c>
      <c r="B10" s="50"/>
      <c r="C10" s="50"/>
      <c r="D10" s="50"/>
      <c r="E10" s="50"/>
      <c r="F10" s="50"/>
      <c r="G10" s="50"/>
      <c r="H10" s="50"/>
      <c r="I10" s="50"/>
      <c r="J10" s="6"/>
    </row>
    <row r="11" spans="1:10" ht="12.75" thickTop="1">
      <c r="A11" s="12"/>
      <c r="B11" s="12"/>
      <c r="C11" s="12"/>
      <c r="D11" s="12"/>
      <c r="E11" s="12"/>
      <c r="F11" s="12"/>
      <c r="G11" s="12"/>
      <c r="H11" s="12"/>
      <c r="I11" s="12"/>
      <c r="J11" s="6"/>
    </row>
    <row r="12" spans="1:10" ht="15">
      <c r="A12" s="37" t="s">
        <v>32</v>
      </c>
      <c r="B12" s="38"/>
      <c r="C12" s="38"/>
      <c r="D12" s="38"/>
      <c r="E12" s="38"/>
      <c r="F12" s="38"/>
      <c r="G12" s="38"/>
      <c r="H12" s="38"/>
      <c r="I12" s="38"/>
      <c r="J12" s="38"/>
    </row>
    <row r="13" spans="1:10" ht="12">
      <c r="A13" s="42" t="s">
        <v>27</v>
      </c>
      <c r="B13" s="32"/>
      <c r="C13" s="35" t="s">
        <v>19</v>
      </c>
      <c r="D13" s="35"/>
      <c r="E13" s="35"/>
      <c r="F13" s="35"/>
      <c r="G13" s="35"/>
      <c r="H13" s="35"/>
      <c r="I13" s="6"/>
      <c r="J13" s="6"/>
    </row>
    <row r="14" spans="1:10" ht="12">
      <c r="A14" s="32"/>
      <c r="B14" s="32"/>
      <c r="C14" s="35"/>
      <c r="D14" s="35"/>
      <c r="E14" s="35"/>
      <c r="F14" s="35"/>
      <c r="G14" s="35"/>
      <c r="H14" s="35"/>
      <c r="I14" s="6"/>
      <c r="J14" s="6"/>
    </row>
    <row r="15" spans="1:10" ht="12">
      <c r="A15" s="36"/>
      <c r="B15" s="36"/>
      <c r="C15" s="35"/>
      <c r="D15" s="35"/>
      <c r="E15" s="35"/>
      <c r="F15" s="35"/>
      <c r="G15" s="35"/>
      <c r="H15" s="35"/>
      <c r="I15" s="6"/>
      <c r="J15" s="6"/>
    </row>
    <row r="16" spans="1:10" ht="12.75">
      <c r="A16" s="6"/>
      <c r="B16" s="6"/>
      <c r="C16" s="6"/>
      <c r="D16" s="43" t="s">
        <v>20</v>
      </c>
      <c r="E16" s="43"/>
      <c r="F16" s="43"/>
      <c r="G16" s="43"/>
      <c r="H16" s="43"/>
      <c r="I16" s="13">
        <f>IF(G5="SELECT","",Sheet2!E5/30*Sheet1!G7)</f>
      </c>
      <c r="J16" s="6"/>
    </row>
    <row r="17" spans="1:10" ht="12">
      <c r="A17" s="42" t="s">
        <v>28</v>
      </c>
      <c r="B17" s="32"/>
      <c r="C17" s="35" t="s">
        <v>23</v>
      </c>
      <c r="D17" s="35"/>
      <c r="E17" s="35"/>
      <c r="F17" s="35"/>
      <c r="G17" s="35"/>
      <c r="H17" s="35"/>
      <c r="I17" s="6"/>
      <c r="J17" s="6"/>
    </row>
    <row r="18" spans="1:10" ht="12">
      <c r="A18" s="32"/>
      <c r="B18" s="32"/>
      <c r="C18" s="35"/>
      <c r="D18" s="35"/>
      <c r="E18" s="35"/>
      <c r="F18" s="35"/>
      <c r="G18" s="35"/>
      <c r="H18" s="35"/>
      <c r="I18" s="6"/>
      <c r="J18" s="6"/>
    </row>
    <row r="19" spans="1:10" ht="12.75">
      <c r="A19" s="6"/>
      <c r="B19" s="6"/>
      <c r="C19" s="6"/>
      <c r="D19" s="54" t="s">
        <v>22</v>
      </c>
      <c r="E19" s="54"/>
      <c r="F19" s="54"/>
      <c r="G19" s="54"/>
      <c r="H19" s="54"/>
      <c r="I19" s="14">
        <f>IF(Sheet2!H6="","",Sheet2!H6)</f>
      </c>
      <c r="J19" s="6"/>
    </row>
    <row r="20" spans="1:10" ht="12.75">
      <c r="A20" s="6"/>
      <c r="B20" s="6"/>
      <c r="C20" s="6"/>
      <c r="D20" s="54" t="s">
        <v>21</v>
      </c>
      <c r="E20" s="54"/>
      <c r="F20" s="54"/>
      <c r="G20" s="54"/>
      <c r="H20" s="54"/>
      <c r="I20" s="14">
        <f>IF(Sheet2!H7="","",Sheet2!H7)</f>
      </c>
      <c r="J20" s="6"/>
    </row>
    <row r="21" spans="1:10" ht="12.75">
      <c r="A21" s="6"/>
      <c r="B21" s="6"/>
      <c r="C21" s="6"/>
      <c r="D21" s="43" t="s">
        <v>31</v>
      </c>
      <c r="E21" s="44"/>
      <c r="F21" s="44"/>
      <c r="G21" s="44"/>
      <c r="H21" s="44"/>
      <c r="I21" s="13">
        <f>IF(I19="","",I19+I20)</f>
      </c>
      <c r="J21" s="6"/>
    </row>
    <row r="22" spans="1:10" ht="12.75" customHeight="1">
      <c r="A22" s="10"/>
      <c r="B22" s="10"/>
      <c r="C22" s="10"/>
      <c r="D22" s="10"/>
      <c r="E22" s="31" t="s">
        <v>24</v>
      </c>
      <c r="F22" s="32"/>
      <c r="G22" s="32"/>
      <c r="H22" s="32"/>
      <c r="I22" s="6"/>
      <c r="J22" s="33">
        <f>IF(I16="","",IF(I19="","",I16+I21))</f>
      </c>
    </row>
    <row r="23" spans="1:10" ht="12.75" customHeight="1">
      <c r="A23" s="10"/>
      <c r="B23" s="10"/>
      <c r="C23" s="10"/>
      <c r="D23" s="10"/>
      <c r="E23" s="32"/>
      <c r="F23" s="32"/>
      <c r="G23" s="32"/>
      <c r="H23" s="32"/>
      <c r="I23" s="6"/>
      <c r="J23" s="34"/>
    </row>
    <row r="24" spans="1:10" ht="15">
      <c r="A24" s="37" t="s">
        <v>33</v>
      </c>
      <c r="B24" s="38"/>
      <c r="C24" s="38"/>
      <c r="D24" s="38"/>
      <c r="E24" s="38"/>
      <c r="F24" s="38"/>
      <c r="G24" s="38"/>
      <c r="H24" s="38"/>
      <c r="I24" s="38"/>
      <c r="J24" s="38"/>
    </row>
    <row r="25" spans="1:10" ht="12">
      <c r="A25" s="42" t="s">
        <v>26</v>
      </c>
      <c r="B25" s="55"/>
      <c r="C25" s="35" t="s">
        <v>29</v>
      </c>
      <c r="D25" s="35"/>
      <c r="E25" s="35"/>
      <c r="F25" s="35"/>
      <c r="G25" s="35"/>
      <c r="H25" s="35"/>
      <c r="I25" s="6"/>
      <c r="J25" s="6"/>
    </row>
    <row r="26" spans="1:10" ht="12">
      <c r="A26" s="55"/>
      <c r="B26" s="55"/>
      <c r="C26" s="35"/>
      <c r="D26" s="35"/>
      <c r="E26" s="35"/>
      <c r="F26" s="35"/>
      <c r="G26" s="35"/>
      <c r="H26" s="35"/>
      <c r="I26" s="6"/>
      <c r="J26" s="6"/>
    </row>
    <row r="27" spans="1:10" ht="12">
      <c r="A27" s="36"/>
      <c r="B27" s="36"/>
      <c r="C27" s="36"/>
      <c r="D27" s="36"/>
      <c r="E27" s="36"/>
      <c r="F27" s="36"/>
      <c r="G27" s="36"/>
      <c r="H27" s="36"/>
      <c r="I27" s="6"/>
      <c r="J27" s="33" t="str">
        <f>IF(G5="Columbus",Sheet2!C10*Sheet1!G7,"$0.00")</f>
        <v>$0.00</v>
      </c>
    </row>
    <row r="28" spans="1:10" ht="12.75" customHeight="1">
      <c r="A28" s="6"/>
      <c r="B28" s="6"/>
      <c r="C28" s="6"/>
      <c r="D28" s="39" t="s">
        <v>30</v>
      </c>
      <c r="E28" s="40"/>
      <c r="F28" s="40"/>
      <c r="G28" s="40"/>
      <c r="H28" s="40"/>
      <c r="I28" s="6"/>
      <c r="J28" s="34"/>
    </row>
    <row r="29" spans="1:10" ht="12.75" customHeight="1">
      <c r="A29" s="42" t="s">
        <v>27</v>
      </c>
      <c r="B29" s="32"/>
      <c r="C29" s="35" t="s">
        <v>35</v>
      </c>
      <c r="D29" s="35"/>
      <c r="E29" s="35"/>
      <c r="F29" s="35"/>
      <c r="G29" s="35"/>
      <c r="H29" s="35"/>
      <c r="I29" s="6"/>
      <c r="J29" s="6"/>
    </row>
    <row r="30" spans="1:10" ht="12">
      <c r="A30" s="32"/>
      <c r="B30" s="32"/>
      <c r="C30" s="35"/>
      <c r="D30" s="35"/>
      <c r="E30" s="35"/>
      <c r="F30" s="35"/>
      <c r="G30" s="35"/>
      <c r="H30" s="35"/>
      <c r="I30" s="6"/>
      <c r="J30" s="6"/>
    </row>
    <row r="31" spans="1:10" ht="12">
      <c r="A31" s="36"/>
      <c r="B31" s="36"/>
      <c r="C31" s="35"/>
      <c r="D31" s="35"/>
      <c r="E31" s="35"/>
      <c r="F31" s="35"/>
      <c r="G31" s="35"/>
      <c r="H31" s="35"/>
      <c r="I31" s="6"/>
      <c r="J31" s="6"/>
    </row>
    <row r="32" spans="1:10" ht="12.75">
      <c r="A32" s="6"/>
      <c r="B32" s="6"/>
      <c r="C32" s="6"/>
      <c r="D32" s="43" t="s">
        <v>20</v>
      </c>
      <c r="E32" s="43"/>
      <c r="F32" s="43"/>
      <c r="G32" s="43"/>
      <c r="H32" s="43"/>
      <c r="I32" s="13">
        <f>IF(G5="SELECT","",Sheet2!B14/30*Sheet1!G7)</f>
      </c>
      <c r="J32" s="6"/>
    </row>
    <row r="33" spans="1:10" ht="12">
      <c r="A33" s="42" t="s">
        <v>28</v>
      </c>
      <c r="B33" s="32"/>
      <c r="C33" s="35" t="s">
        <v>36</v>
      </c>
      <c r="D33" s="35"/>
      <c r="E33" s="35"/>
      <c r="F33" s="35"/>
      <c r="G33" s="35"/>
      <c r="H33" s="35"/>
      <c r="I33" s="6"/>
      <c r="J33" s="6"/>
    </row>
    <row r="34" spans="1:10" ht="12">
      <c r="A34" s="32"/>
      <c r="B34" s="32"/>
      <c r="C34" s="35"/>
      <c r="D34" s="35"/>
      <c r="E34" s="35"/>
      <c r="F34" s="35"/>
      <c r="G34" s="35"/>
      <c r="H34" s="35"/>
      <c r="I34" s="6"/>
      <c r="J34" s="6"/>
    </row>
    <row r="35" spans="1:10" ht="12.75">
      <c r="A35" s="6"/>
      <c r="B35" s="6"/>
      <c r="C35" s="6"/>
      <c r="D35" s="43" t="s">
        <v>37</v>
      </c>
      <c r="E35" s="44"/>
      <c r="F35" s="44"/>
      <c r="G35" s="44"/>
      <c r="H35" s="44"/>
      <c r="I35" s="13">
        <f>IF(G5="SELECT","",Sheet2!E15*Sheet1!G9)</f>
      </c>
      <c r="J35" s="6"/>
    </row>
    <row r="36" spans="1:10" ht="12">
      <c r="A36" s="6"/>
      <c r="B36" s="6"/>
      <c r="C36" s="6"/>
      <c r="D36" s="6"/>
      <c r="E36" s="31" t="s">
        <v>38</v>
      </c>
      <c r="F36" s="32"/>
      <c r="G36" s="32"/>
      <c r="H36" s="32"/>
      <c r="I36" s="6"/>
      <c r="J36" s="33">
        <f>IF(I32="","",IF(I35="","",I32+I35))</f>
      </c>
    </row>
    <row r="37" spans="1:10" ht="12">
      <c r="A37" s="6"/>
      <c r="B37" s="6"/>
      <c r="C37" s="6"/>
      <c r="D37" s="6"/>
      <c r="E37" s="32"/>
      <c r="F37" s="32"/>
      <c r="G37" s="32"/>
      <c r="H37" s="32"/>
      <c r="I37" s="6"/>
      <c r="J37" s="34"/>
    </row>
    <row r="38" spans="1:10" ht="15">
      <c r="A38" s="37" t="s">
        <v>39</v>
      </c>
      <c r="B38" s="38"/>
      <c r="C38" s="38"/>
      <c r="D38" s="38"/>
      <c r="E38" s="38"/>
      <c r="F38" s="38"/>
      <c r="G38" s="38"/>
      <c r="H38" s="38"/>
      <c r="I38" s="38"/>
      <c r="J38" s="38"/>
    </row>
    <row r="39" spans="1:10" ht="12">
      <c r="A39" s="42" t="s">
        <v>40</v>
      </c>
      <c r="B39" s="32"/>
      <c r="C39" s="35" t="s">
        <v>41</v>
      </c>
      <c r="D39" s="35"/>
      <c r="E39" s="35"/>
      <c r="F39" s="35"/>
      <c r="G39" s="35"/>
      <c r="H39" s="35"/>
      <c r="I39" s="6"/>
      <c r="J39" s="6"/>
    </row>
    <row r="40" spans="1:10" ht="12">
      <c r="A40" s="32"/>
      <c r="B40" s="32"/>
      <c r="C40" s="35"/>
      <c r="D40" s="35"/>
      <c r="E40" s="35"/>
      <c r="F40" s="35"/>
      <c r="G40" s="35"/>
      <c r="H40" s="35"/>
      <c r="I40" s="6"/>
      <c r="J40" s="6"/>
    </row>
    <row r="41" spans="1:10" ht="12">
      <c r="A41" s="6"/>
      <c r="B41" s="6"/>
      <c r="C41" s="36"/>
      <c r="D41" s="36"/>
      <c r="E41" s="36"/>
      <c r="F41" s="36"/>
      <c r="G41" s="36"/>
      <c r="H41" s="36"/>
      <c r="I41" s="6"/>
      <c r="J41" s="6"/>
    </row>
    <row r="42" spans="1:10" ht="12">
      <c r="A42" s="6"/>
      <c r="B42" s="6"/>
      <c r="C42" s="36"/>
      <c r="D42" s="36"/>
      <c r="E42" s="36"/>
      <c r="F42" s="36"/>
      <c r="G42" s="36"/>
      <c r="H42" s="36"/>
      <c r="I42" s="6"/>
      <c r="J42" s="6"/>
    </row>
    <row r="43" spans="1:10" ht="12">
      <c r="A43" s="6"/>
      <c r="B43" s="6"/>
      <c r="C43" s="36"/>
      <c r="D43" s="36"/>
      <c r="E43" s="36"/>
      <c r="F43" s="36"/>
      <c r="G43" s="36"/>
      <c r="H43" s="36"/>
      <c r="I43" s="6"/>
      <c r="J43" s="33">
        <f>IF(G5="SELECT","",Sheet2!E18*Sheet1!G7)</f>
      </c>
    </row>
    <row r="44" spans="1:10" ht="12">
      <c r="A44" s="6"/>
      <c r="B44" s="6"/>
      <c r="C44" s="6"/>
      <c r="D44" s="6"/>
      <c r="E44" s="6"/>
      <c r="F44" s="6"/>
      <c r="G44" s="6"/>
      <c r="H44" s="6"/>
      <c r="I44" s="6"/>
      <c r="J44" s="34"/>
    </row>
    <row r="45" spans="1:10" ht="12">
      <c r="A45" s="6"/>
      <c r="B45" s="6"/>
      <c r="C45" s="6"/>
      <c r="D45" s="6"/>
      <c r="E45" s="6"/>
      <c r="F45" s="6"/>
      <c r="G45" s="6"/>
      <c r="H45" s="6"/>
      <c r="I45" s="6"/>
      <c r="J45" s="6"/>
    </row>
    <row r="46" spans="1:10" ht="19.5">
      <c r="A46" s="57" t="str">
        <f>IF(A47="SURCHARGE","TOTAL COLUMBUS WATER / SEWER CHARGES:","TOTAL BILL:")</f>
        <v>TOTAL BILL:</v>
      </c>
      <c r="B46" s="58"/>
      <c r="C46" s="58"/>
      <c r="D46" s="58"/>
      <c r="E46" s="58"/>
      <c r="F46" s="58"/>
      <c r="G46" s="58"/>
      <c r="H46" s="58"/>
      <c r="I46" s="58"/>
      <c r="J46" s="15">
        <f>IF(G5="SELECT","",J22+J27+J36+J43)</f>
      </c>
    </row>
    <row r="47" spans="1:10" ht="12">
      <c r="A47" s="42">
        <f>IF(Sheet2!F29=1,"SURCHARGE","")</f>
      </c>
      <c r="B47" s="32"/>
      <c r="C47" s="56">
        <f>IF(Sheet2!F29=1,"Your bill will include the following additional water and sewer surcharges determined by your municipality.  These monies are returned to the Suburb for maintenance in your area.  Contact your local municipal office for questions about these charges.","")</f>
      </c>
      <c r="D47" s="56"/>
      <c r="E47" s="56"/>
      <c r="F47" s="56"/>
      <c r="G47" s="56"/>
      <c r="H47" s="56"/>
      <c r="I47" s="53"/>
      <c r="J47" s="6"/>
    </row>
    <row r="48" spans="1:10" ht="12">
      <c r="A48" s="32"/>
      <c r="B48" s="32"/>
      <c r="C48" s="56"/>
      <c r="D48" s="56"/>
      <c r="E48" s="56"/>
      <c r="F48" s="56"/>
      <c r="G48" s="56"/>
      <c r="H48" s="56"/>
      <c r="I48" s="53"/>
      <c r="J48" s="6"/>
    </row>
    <row r="49" spans="1:10" ht="12">
      <c r="A49" s="6"/>
      <c r="B49" s="6"/>
      <c r="C49" s="56"/>
      <c r="D49" s="56"/>
      <c r="E49" s="56"/>
      <c r="F49" s="56"/>
      <c r="G49" s="56"/>
      <c r="H49" s="56"/>
      <c r="I49" s="53"/>
      <c r="J49" s="6"/>
    </row>
    <row r="50" spans="1:10" ht="12">
      <c r="A50" s="6"/>
      <c r="B50" s="6"/>
      <c r="C50" s="41"/>
      <c r="D50" s="41"/>
      <c r="E50" s="41"/>
      <c r="F50" s="41"/>
      <c r="G50" s="41"/>
      <c r="H50" s="41"/>
      <c r="I50" s="53"/>
      <c r="J50" s="6"/>
    </row>
    <row r="51" spans="1:10" ht="12.75">
      <c r="A51" s="42">
        <f>IF(Sheet2!F29=1,"WATER SURCHARGE","")</f>
      </c>
      <c r="B51" s="53"/>
      <c r="C51" s="53"/>
      <c r="D51" s="53"/>
      <c r="E51" s="17"/>
      <c r="F51" s="17"/>
      <c r="G51" s="17"/>
      <c r="H51" s="17"/>
      <c r="I51" s="13">
        <f>IF(Sheet2!H29=0,"",Sheet2!H29)</f>
      </c>
      <c r="J51" s="6"/>
    </row>
    <row r="52" spans="1:10" ht="12.75" customHeight="1">
      <c r="A52" s="42">
        <f>IF(Sheet2!F29=1,"SEWER SURCHARGE","")</f>
      </c>
      <c r="B52" s="42"/>
      <c r="C52" s="42"/>
      <c r="D52" s="42"/>
      <c r="E52" s="17"/>
      <c r="F52" s="17"/>
      <c r="G52" s="17"/>
      <c r="H52" s="17"/>
      <c r="I52" s="13">
        <f>IF(Sheet2!J29=0,"",IF(Sheet2!J29=-0.01,0,Sheet2!J29))</f>
      </c>
      <c r="J52" s="6"/>
    </row>
    <row r="53" spans="1:10" ht="12.75" customHeight="1">
      <c r="A53" s="42">
        <f>IF(Sheet2!F30=2,"STORMWATER SURCHARGE","")</f>
      </c>
      <c r="B53" s="42"/>
      <c r="C53" s="42"/>
      <c r="D53" s="42"/>
      <c r="E53" s="17"/>
      <c r="F53" s="17"/>
      <c r="G53" s="17"/>
      <c r="H53" s="17"/>
      <c r="I53" s="13">
        <f>IF(Sheet2!F30=2,Sheet2!L20,"")</f>
      </c>
      <c r="J53" s="6"/>
    </row>
    <row r="54" spans="1:10" ht="12.75" customHeight="1">
      <c r="A54" s="6"/>
      <c r="B54" s="6"/>
      <c r="C54" s="17"/>
      <c r="D54" s="31">
        <f>IF(Sheet2!F29=1,"ADDITIONAL SURCHARGES BILLED","")</f>
      </c>
      <c r="E54" s="53"/>
      <c r="F54" s="53"/>
      <c r="G54" s="53"/>
      <c r="H54" s="53"/>
      <c r="I54"/>
      <c r="J54" s="59">
        <f>IF(Sheet2!F29=1,Sheet2!M29,"")</f>
      </c>
    </row>
    <row r="55" spans="1:10" ht="12">
      <c r="A55" s="6"/>
      <c r="B55" s="6"/>
      <c r="C55" s="6"/>
      <c r="D55" s="53"/>
      <c r="E55" s="53"/>
      <c r="F55" s="53"/>
      <c r="G55" s="53"/>
      <c r="H55" s="53"/>
      <c r="I55" s="6"/>
      <c r="J55" s="53"/>
    </row>
    <row r="56" spans="1:10" ht="12">
      <c r="A56" s="41" t="s">
        <v>42</v>
      </c>
      <c r="B56" s="36"/>
      <c r="C56" s="35" t="s">
        <v>47</v>
      </c>
      <c r="D56" s="35"/>
      <c r="E56" s="35"/>
      <c r="F56" s="35"/>
      <c r="G56" s="35"/>
      <c r="H56" s="35"/>
      <c r="I56" s="35"/>
      <c r="J56" s="35"/>
    </row>
    <row r="57" spans="1:10" ht="12">
      <c r="A57" s="36"/>
      <c r="B57" s="36"/>
      <c r="C57" s="35"/>
      <c r="D57" s="35"/>
      <c r="E57" s="35"/>
      <c r="F57" s="35"/>
      <c r="G57" s="35"/>
      <c r="H57" s="35"/>
      <c r="I57" s="35"/>
      <c r="J57" s="35"/>
    </row>
    <row r="58" spans="1:10" ht="12">
      <c r="A58"/>
      <c r="B58"/>
      <c r="C58"/>
      <c r="D58"/>
      <c r="E58"/>
      <c r="F58"/>
      <c r="G58"/>
      <c r="H58"/>
      <c r="I58"/>
      <c r="J58"/>
    </row>
    <row r="59" ht="12"/>
    <row r="60" ht="12"/>
    <row r="61" ht="12"/>
    <row r="62" ht="12"/>
    <row r="63" ht="12"/>
    <row r="64" ht="12"/>
  </sheetData>
  <sheetProtection/>
  <mergeCells count="45">
    <mergeCell ref="J43:J44"/>
    <mergeCell ref="C47:I50"/>
    <mergeCell ref="A46:I46"/>
    <mergeCell ref="A47:B48"/>
    <mergeCell ref="D54:H55"/>
    <mergeCell ref="J54:J55"/>
    <mergeCell ref="A51:D51"/>
    <mergeCell ref="A52:D52"/>
    <mergeCell ref="A53:D53"/>
    <mergeCell ref="A17:B18"/>
    <mergeCell ref="A25:B27"/>
    <mergeCell ref="A29:B31"/>
    <mergeCell ref="J36:J37"/>
    <mergeCell ref="E36:H37"/>
    <mergeCell ref="A38:J38"/>
    <mergeCell ref="D32:H32"/>
    <mergeCell ref="A33:B34"/>
    <mergeCell ref="C33:H34"/>
    <mergeCell ref="D21:H21"/>
    <mergeCell ref="A10:I10"/>
    <mergeCell ref="B7:F7"/>
    <mergeCell ref="A1:J1"/>
    <mergeCell ref="C29:H31"/>
    <mergeCell ref="C13:H15"/>
    <mergeCell ref="A13:B15"/>
    <mergeCell ref="D20:H20"/>
    <mergeCell ref="D16:H16"/>
    <mergeCell ref="C17:H18"/>
    <mergeCell ref="D19:H19"/>
    <mergeCell ref="C56:J57"/>
    <mergeCell ref="A56:B57"/>
    <mergeCell ref="A39:B40"/>
    <mergeCell ref="C39:H43"/>
    <mergeCell ref="D35:H35"/>
    <mergeCell ref="A3:H3"/>
    <mergeCell ref="G5:H5"/>
    <mergeCell ref="A12:J12"/>
    <mergeCell ref="A5:F5"/>
    <mergeCell ref="A9:F9"/>
    <mergeCell ref="E22:H23"/>
    <mergeCell ref="J22:J23"/>
    <mergeCell ref="C25:H27"/>
    <mergeCell ref="A24:J24"/>
    <mergeCell ref="J27:J28"/>
    <mergeCell ref="D28:H28"/>
  </mergeCells>
  <conditionalFormatting sqref="A47:B48">
    <cfRule type="cellIs" priority="1" dxfId="1" operator="equal" stopIfTrue="1">
      <formula>"SURCHARGE"</formula>
    </cfRule>
  </conditionalFormatting>
  <conditionalFormatting sqref="E47:H53 C47:D50 C54">
    <cfRule type="cellIs" priority="2" dxfId="1" operator="greaterThan" stopIfTrue="1">
      <formula>"""Y???"""</formula>
    </cfRule>
  </conditionalFormatting>
  <conditionalFormatting sqref="A46:I46">
    <cfRule type="cellIs" priority="3" dxfId="1" operator="notEqual" stopIfTrue="1">
      <formula>"TOTAL BILL:"</formula>
    </cfRule>
    <cfRule type="cellIs" priority="4" dxfId="0" operator="equal" stopIfTrue="1">
      <formula>"TOTAL BILL:"</formula>
    </cfRule>
  </conditionalFormatting>
  <dataValidations count="2">
    <dataValidation type="list" allowBlank="1" showInputMessage="1" showErrorMessage="1" sqref="G5">
      <formula1>"SELECT,Columbus,County Rural,Brice,Brookside Estates,Dublin,Grandview,Grove City,Groveport,Hamilton Meadows,Hilliard,Marblecliff,Minerva Park,New Albany,Obetz,Ridgewood,Riverlea,Upper Arlington,Urbancrest,Valleyveiw,Village Park,Whitehall,Worthington"</formula1>
    </dataValidation>
    <dataValidation type="whole" operator="greaterThanOrEqual" allowBlank="1" showInputMessage="1" showErrorMessage="1" errorTitle="NUMBER ERROR" error="PLEASE ENTER A NUMBER GREATER THAN ZERO (0)." sqref="G7 G9">
      <formula1>1</formula1>
    </dataValidation>
  </dataValidations>
  <printOptions/>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30"/>
  <sheetViews>
    <sheetView zoomScalePageLayoutView="0" workbookViewId="0" topLeftCell="A1">
      <selection activeCell="L16" sqref="L16"/>
    </sheetView>
  </sheetViews>
  <sheetFormatPr defaultColWidth="9.140625" defaultRowHeight="12.75"/>
  <cols>
    <col min="1" max="1" width="12.140625" style="0" bestFit="1" customWidth="1"/>
    <col min="2" max="2" width="29.28125" style="0" bestFit="1" customWidth="1"/>
    <col min="3" max="3" width="7.57421875" style="0" bestFit="1" customWidth="1"/>
    <col min="4" max="4" width="5.57421875" style="0" bestFit="1" customWidth="1"/>
    <col min="5" max="5" width="6.57421875" style="0" bestFit="1" customWidth="1"/>
    <col min="6" max="6" width="6.8515625" style="0" bestFit="1" customWidth="1"/>
    <col min="7" max="7" width="5.57421875" style="0" bestFit="1" customWidth="1"/>
    <col min="8" max="8" width="6.57421875" style="0" bestFit="1" customWidth="1"/>
    <col min="9" max="9" width="9.421875" style="0" bestFit="1" customWidth="1"/>
    <col min="10" max="10" width="6.57421875" style="0" bestFit="1" customWidth="1"/>
    <col min="11" max="11" width="9.421875" style="0" bestFit="1" customWidth="1"/>
    <col min="12" max="12" width="10.421875" style="0" bestFit="1" customWidth="1"/>
    <col min="13" max="13" width="9.421875" style="0" bestFit="1" customWidth="1"/>
    <col min="14" max="14" width="16.57421875" style="0" bestFit="1" customWidth="1"/>
    <col min="15" max="15" width="18.00390625" style="0" bestFit="1" customWidth="1"/>
    <col min="16" max="16" width="16.421875" style="0" bestFit="1" customWidth="1"/>
  </cols>
  <sheetData>
    <row r="1" ht="12">
      <c r="B1" t="s">
        <v>0</v>
      </c>
    </row>
    <row r="3" spans="2:4" ht="12">
      <c r="B3" s="60" t="s">
        <v>1</v>
      </c>
      <c r="C3" s="60"/>
      <c r="D3" s="60"/>
    </row>
    <row r="4" spans="2:6" s="4" customFormat="1" ht="12.75">
      <c r="B4" s="4" t="s">
        <v>2</v>
      </c>
      <c r="C4" s="4" t="s">
        <v>3</v>
      </c>
      <c r="D4" s="4" t="s">
        <v>4</v>
      </c>
      <c r="E4" s="4" t="s">
        <v>13</v>
      </c>
      <c r="F4" s="4" t="s">
        <v>12</v>
      </c>
    </row>
    <row r="5" spans="1:5" s="1" customFormat="1" ht="14.25">
      <c r="A5" s="1" t="s">
        <v>5</v>
      </c>
      <c r="B5" s="22">
        <v>9.39</v>
      </c>
      <c r="C5" s="24">
        <f>B5*150%</f>
        <v>14.085</v>
      </c>
      <c r="D5" s="24">
        <f>B5*130%</f>
        <v>12.207</v>
      </c>
      <c r="E5" s="1">
        <f>IF(Sheet1!$G$5="Columbus",Sheet2!B5,IF(Sheet1!$G$5="County Rural",Sheet2!C5,IF(Sheet1!$G$5="SELECT","",Sheet2!D5)))</f>
      </c>
    </row>
    <row r="6" spans="1:8" s="2" customFormat="1" ht="14.25">
      <c r="A6" s="2" t="s">
        <v>6</v>
      </c>
      <c r="B6" s="23">
        <v>3.35</v>
      </c>
      <c r="C6" s="25">
        <f>B6*150%</f>
        <v>5.025</v>
      </c>
      <c r="D6" s="25">
        <f>B6*130%</f>
        <v>4.355</v>
      </c>
      <c r="E6" s="2">
        <f>IF(Sheet1!$G$5="Columbus",Sheet2!B6,IF(Sheet1!$G$5="County Rural",Sheet2!C6,IF(Sheet1!$G$5="SELECT","",Sheet2!D6)))</f>
      </c>
      <c r="F6" s="1">
        <f>ROUND(5/30*Sheet1!G7,0)</f>
        <v>15</v>
      </c>
      <c r="G6" s="1">
        <f>IF(F6&gt;Sheet1!G9,Sheet1!G9,Sheet2!F6)</f>
        <v>15</v>
      </c>
      <c r="H6" s="1">
        <f>IF(Sheet1!$G$5="SELECT","",ROUND(G6*E6,2))</f>
      </c>
    </row>
    <row r="7" spans="1:8" s="3" customFormat="1" ht="14.25">
      <c r="A7" s="3" t="s">
        <v>7</v>
      </c>
      <c r="B7" s="23">
        <v>3.72</v>
      </c>
      <c r="C7" s="25">
        <f>B7*150%</f>
        <v>5.58</v>
      </c>
      <c r="D7" s="25">
        <f>B7*130%</f>
        <v>4.836</v>
      </c>
      <c r="E7" s="3">
        <f>IF(Sheet1!$G$5="Columbus",Sheet2!B7,IF(Sheet1!$G$5="County Rural",Sheet2!C7,IF(Sheet1!$G$5="SELECT","",Sheet2!D7)))</f>
      </c>
      <c r="F7" s="1">
        <f>Sheet1!G9-Sheet2!F6</f>
        <v>15</v>
      </c>
      <c r="G7" s="1">
        <f>IF(Sheet1!G9&lt;Sheet2!G6,"",Sheet1!G9-Sheet2!G6)</f>
        <v>15</v>
      </c>
      <c r="H7" s="1">
        <f>IF(Sheet1!$G$5="SELECT","",ROUND(G7*E7,2))</f>
      </c>
    </row>
    <row r="9" spans="2:4" ht="12">
      <c r="B9" s="60" t="s">
        <v>10</v>
      </c>
      <c r="C9" s="60"/>
      <c r="D9" s="60"/>
    </row>
    <row r="10" ht="14.25">
      <c r="C10" s="26">
        <v>0.1687</v>
      </c>
    </row>
    <row r="11" spans="8:12" ht="12">
      <c r="H11" s="64" t="s">
        <v>45</v>
      </c>
      <c r="I11" s="64"/>
      <c r="J11" s="64" t="s">
        <v>46</v>
      </c>
      <c r="K11" s="64"/>
      <c r="L11" t="s">
        <v>49</v>
      </c>
    </row>
    <row r="12" spans="2:13" ht="12">
      <c r="B12" s="60" t="s">
        <v>8</v>
      </c>
      <c r="C12" s="60"/>
      <c r="D12" s="60"/>
      <c r="F12" t="s">
        <v>43</v>
      </c>
      <c r="H12" t="s">
        <v>44</v>
      </c>
      <c r="I12" t="s">
        <v>48</v>
      </c>
      <c r="J12" t="s">
        <v>44</v>
      </c>
      <c r="K12" t="s">
        <v>48</v>
      </c>
      <c r="L12" t="s">
        <v>44</v>
      </c>
      <c r="M12" t="s">
        <v>48</v>
      </c>
    </row>
    <row r="13" spans="2:12" ht="14.25">
      <c r="B13" s="4" t="s">
        <v>2</v>
      </c>
      <c r="C13" s="4" t="s">
        <v>9</v>
      </c>
      <c r="E13" s="4" t="s">
        <v>13</v>
      </c>
      <c r="F13" s="62">
        <f>IF(Sheet1!$G$5="Brice","Brice","")</f>
      </c>
      <c r="G13" s="63"/>
      <c r="H13" s="18">
        <f>IF(F13="Brice",Sheet1!I21*I13,"")</f>
      </c>
      <c r="I13" s="27">
        <v>0.1</v>
      </c>
      <c r="J13" s="19">
        <f>IF(F13="Brice",Sheet1!I35*K13,"")</f>
      </c>
      <c r="K13" s="27">
        <v>0.1</v>
      </c>
      <c r="L13" s="18"/>
    </row>
    <row r="14" spans="1:12" ht="14.25">
      <c r="A14" t="s">
        <v>5</v>
      </c>
      <c r="B14" s="61">
        <v>4.73</v>
      </c>
      <c r="C14" s="61"/>
      <c r="F14" s="62">
        <f>IF(Sheet1!$G$5="Brookside Estates","Brookside Estates","")</f>
      </c>
      <c r="G14" s="63"/>
      <c r="H14" s="18">
        <f>IF(F14="Brookside Estates",Sheet1!G9*I14,"")</f>
      </c>
      <c r="I14" s="22">
        <v>1.97</v>
      </c>
      <c r="J14" s="18">
        <f>IF(F14="Brookside Estates",Sheet1!G9*K14,"")</f>
      </c>
      <c r="K14" s="22">
        <v>0.59</v>
      </c>
      <c r="L14" s="18"/>
    </row>
    <row r="15" spans="1:12" ht="14.25">
      <c r="A15" t="s">
        <v>34</v>
      </c>
      <c r="B15" s="26">
        <v>5.1</v>
      </c>
      <c r="C15" s="26">
        <v>5.57</v>
      </c>
      <c r="E15" s="3">
        <f>IF(Sheet1!G5="Columbus",Sheet2!B15,IF(Sheet1!G5="SELECT","",Sheet2!C15))</f>
      </c>
      <c r="F15" s="62">
        <f>IF(Sheet1!$G$5="Dublin","Dublin","")</f>
      </c>
      <c r="G15" s="63"/>
      <c r="H15" s="18">
        <f>IF(F15="Dublin",Sheet1!G9*I15,"")</f>
      </c>
      <c r="I15" s="23">
        <v>0.325</v>
      </c>
      <c r="J15" s="19">
        <f>IF(F15="Dublin",Sheet1!G9*K15,"")</f>
      </c>
      <c r="K15" s="23">
        <v>1.431</v>
      </c>
      <c r="L15" s="18"/>
    </row>
    <row r="16" spans="6:14" ht="14.25">
      <c r="F16" s="62">
        <f>IF(Sheet1!$G$5="Grandview","Grandview","")</f>
      </c>
      <c r="G16" s="63"/>
      <c r="H16" s="18">
        <f>IF(F16="Grandview",Sheet1!I21*I16,"")</f>
      </c>
      <c r="I16" s="27">
        <v>0.12</v>
      </c>
      <c r="J16" s="19">
        <f>IF(F16="Grandview",Sheet1!I35*K16,"")</f>
      </c>
      <c r="K16" s="27">
        <v>0.12</v>
      </c>
      <c r="L16" s="18"/>
      <c r="N16" s="18">
        <f>IF(L17="","",IF(M17&gt;=L17,M17,L17))</f>
      </c>
    </row>
    <row r="17" spans="2:13" ht="14.25">
      <c r="B17" s="60" t="s">
        <v>11</v>
      </c>
      <c r="C17" s="60"/>
      <c r="D17" s="60"/>
      <c r="F17" s="62">
        <f>IF(Sheet1!$G$5="Grove City","Grove City","")</f>
      </c>
      <c r="G17" s="63"/>
      <c r="H17" s="18">
        <f>IF(F17="Grove City",Sheet1!G9*I17,"")</f>
      </c>
      <c r="I17" s="23">
        <v>0.315</v>
      </c>
      <c r="J17" s="19">
        <f>IF(N16="","",N16)</f>
      </c>
      <c r="K17" s="23">
        <v>0.355</v>
      </c>
      <c r="L17" s="18">
        <f>IF(F17="Grove City",2/30*Sheet1!G7,"")</f>
      </c>
      <c r="M17">
        <f>IF(F17="Grove City",K17*Sheet1!G9,"")</f>
      </c>
    </row>
    <row r="18" spans="2:12" ht="14.25">
      <c r="B18" s="26">
        <v>0.1381</v>
      </c>
      <c r="C18" s="26">
        <v>0.0822</v>
      </c>
      <c r="E18" s="3">
        <f>IF(Sheet1!G5="Columbus",Sheet2!B18,IF(Sheet1!G5="SELECT","",Sheet2!C18))</f>
      </c>
      <c r="F18" s="62">
        <f>IF(Sheet1!$G$5="Groveport","Groveport","")</f>
      </c>
      <c r="G18" s="63"/>
      <c r="H18" s="18">
        <f>IF(F18="Groveport",Sheet1!I21*I18,"")</f>
      </c>
      <c r="I18" s="27">
        <v>0.15</v>
      </c>
      <c r="J18" s="21">
        <f>IF(F18="Groveport",-0.01,"")</f>
      </c>
      <c r="K18" s="27"/>
      <c r="L18" s="18"/>
    </row>
    <row r="19" spans="6:12" ht="14.25">
      <c r="F19" s="62">
        <f>IF(Sheet1!$G$5="Hamilton Meadows","Hamilton Meadows","")</f>
      </c>
      <c r="G19" s="63"/>
      <c r="H19" s="18">
        <f>IF(F19="Hamilton Meadows",Sheet1!G9*I19,"")</f>
      </c>
      <c r="I19" s="22">
        <v>1.97</v>
      </c>
      <c r="J19" s="19">
        <f>IF(F19="Hamilton Meadows",Sheet1!G9*K19,"")</f>
      </c>
      <c r="K19" s="22">
        <v>0.59</v>
      </c>
      <c r="L19" s="18"/>
    </row>
    <row r="20" spans="6:13" ht="14.25">
      <c r="F20" s="62">
        <f>IF(Sheet1!$G$5="Hilliard","Hilliard","")</f>
      </c>
      <c r="G20" s="63"/>
      <c r="H20" s="18">
        <f>IF(F20="Hilliard",Sheet1!I21*Sheet2!I20,"")</f>
      </c>
      <c r="I20" s="28">
        <v>0.1425</v>
      </c>
      <c r="J20" s="19">
        <f>IF(F20="Hilliard",Sheet1!I35*K20,"")</f>
      </c>
      <c r="K20" s="27">
        <v>0.1</v>
      </c>
      <c r="L20" s="18">
        <f>IF(F20="Hilliard",M20*Sheet1!G7,"")</f>
      </c>
      <c r="M20" s="30">
        <v>0.0986</v>
      </c>
    </row>
    <row r="21" spans="6:13" ht="14.25">
      <c r="F21" s="62">
        <f>IF(Sheet1!$G$5="Marblecliff","Marblecliff","")</f>
      </c>
      <c r="G21" s="63"/>
      <c r="H21" s="18">
        <f>IF(F21="Marblecliff",Sheet1!I21*Sheet2!I21,"")</f>
      </c>
      <c r="I21" s="28">
        <v>0.1</v>
      </c>
      <c r="J21" s="19">
        <f>IF(F21="Marblecliff",Sheet1!I35*Sheet2!K21,"")</f>
      </c>
      <c r="K21" s="27">
        <v>0.15</v>
      </c>
      <c r="L21" s="18"/>
      <c r="M21" s="20"/>
    </row>
    <row r="22" spans="6:12" ht="14.25">
      <c r="F22" s="62">
        <f>IF(Sheet1!$G$5="Minerva Park","Minerva Park","")</f>
      </c>
      <c r="G22" s="63"/>
      <c r="H22" s="18">
        <f>IF(F22="Minerva Park",(Sheet1!G7*0.274+Sheet1!G9*I22),"")</f>
      </c>
      <c r="I22" s="23">
        <v>0.55</v>
      </c>
      <c r="J22" s="19">
        <f>IF(F22="Minerva Park",Sheet1!G9*K22,"")</f>
      </c>
      <c r="K22" s="23">
        <v>0.086</v>
      </c>
      <c r="L22" s="18"/>
    </row>
    <row r="23" spans="6:16" ht="14.25">
      <c r="F23" s="62">
        <f>IF(Sheet1!$G$5="Ridgewood","Ridgewood","")</f>
      </c>
      <c r="G23" s="63"/>
      <c r="H23" s="18"/>
      <c r="I23" s="22">
        <v>1.97</v>
      </c>
      <c r="J23" s="19">
        <f>IF(F23="Ridgewood",Sheet1!G9*K23,"")</f>
      </c>
      <c r="K23" s="22">
        <v>0.59</v>
      </c>
      <c r="L23" s="18"/>
      <c r="N23">
        <f>IF(N24="","","Water")</f>
      </c>
      <c r="O23">
        <f>IF(O24="","","Sewer")</f>
      </c>
      <c r="P23">
        <f>IF(P24="","","Sewer")</f>
      </c>
    </row>
    <row r="24" spans="6:16" ht="14.25">
      <c r="F24" s="62">
        <f>IF(Sheet1!$G$5="Upper Arlington","Upper Arlington","")</f>
      </c>
      <c r="G24" s="63"/>
      <c r="H24" s="18">
        <f>IF(F24="Upper Arlington",Sheet1!I21*I24,"")</f>
      </c>
      <c r="I24" s="27">
        <v>0.15</v>
      </c>
      <c r="J24" s="19">
        <f>IF(F24="Upper Arlington",Sheet1!I35*K24,"")</f>
      </c>
      <c r="K24" s="27">
        <v>0.23</v>
      </c>
      <c r="L24" s="18"/>
      <c r="M24">
        <f>IF(M25="","","Water")</f>
      </c>
      <c r="N24" s="18">
        <f>IF(L25="","",IF(M25&gt;=L25,M25,L25))</f>
      </c>
      <c r="O24" s="18">
        <f>IF(F25="Urbancrest",K25*Sheet1!G9,"")</f>
      </c>
      <c r="P24" s="18">
        <f>IF(L25="","",IF(O24&gt;=L25,O24,L25))</f>
      </c>
    </row>
    <row r="25" spans="6:13" ht="14.25">
      <c r="F25" s="62">
        <f>IF(Sheet1!$G$5="Urbancrest","Urbancrest","")</f>
      </c>
      <c r="G25" s="63"/>
      <c r="H25" s="18">
        <f>IF(N24="","",N24)</f>
      </c>
      <c r="I25" s="23">
        <v>0.2</v>
      </c>
      <c r="J25" s="19">
        <f>IF(P24="","",P24)</f>
      </c>
      <c r="K25" s="23">
        <v>0.2</v>
      </c>
      <c r="L25" s="18">
        <f>IF(F25="Urbancrest",1.08/30*Sheet1!G7,"")</f>
      </c>
      <c r="M25" s="18">
        <f>IF(F25="Urbancrest",I25*Sheet1!G9,"")</f>
      </c>
    </row>
    <row r="26" spans="6:12" ht="14.25">
      <c r="F26" s="62">
        <f>IF(Sheet1!$G$5="Village Park","Village Park","")</f>
      </c>
      <c r="G26" s="63"/>
      <c r="H26" s="18">
        <f>IF(F26="Village Park",Sheet1!G9*I26,"")</f>
      </c>
      <c r="I26" s="22">
        <v>1.97</v>
      </c>
      <c r="J26" s="19">
        <f>IF(F26="Village Park",Sheet1!G9*K26,"")</f>
      </c>
      <c r="K26" s="22">
        <v>0.59</v>
      </c>
      <c r="L26" s="18"/>
    </row>
    <row r="27" spans="6:12" ht="14.25">
      <c r="F27" s="62">
        <f>IF(Sheet1!$G$5="Worthington","Worthington","")</f>
      </c>
      <c r="G27" s="63"/>
      <c r="H27" s="18">
        <f>IF(F27="Worthington",Sheet1!G9*Sheet2!I27,"")</f>
      </c>
      <c r="I27" s="29">
        <v>0.075</v>
      </c>
      <c r="J27" s="19">
        <f>IF(F27="Worthington",Sheet1!G9*K27,"")</f>
      </c>
      <c r="K27" s="29">
        <v>0.075</v>
      </c>
      <c r="L27" s="18"/>
    </row>
    <row r="28" spans="6:11" ht="14.25">
      <c r="F28" s="62">
        <f>IF(Sheet1!$G$5="County Rural","County Rural","")</f>
      </c>
      <c r="G28" s="63"/>
      <c r="H28" s="18">
        <f>IF(F28="County Rural",Sheet1!G9*Sheet2!I28,"")</f>
      </c>
      <c r="I28" s="22">
        <v>0</v>
      </c>
      <c r="J28" s="19">
        <f>IF(F28="County Rural",Sheet1!G9*K28,"")</f>
      </c>
      <c r="K28" s="22">
        <v>0</v>
      </c>
    </row>
    <row r="29" spans="6:13" ht="12">
      <c r="F29">
        <f>COUNTIF(F13:G28,"&gt;??")</f>
        <v>0</v>
      </c>
      <c r="H29" s="18">
        <f>IF(F29=0,"",SUM(H13:H28))</f>
      </c>
      <c r="J29" s="18">
        <f>IF(F29=0,"",SUM(J13:J28))</f>
      </c>
      <c r="L29" s="18">
        <f>IF(F30=2,L20,0)</f>
        <v>0</v>
      </c>
      <c r="M29" s="18" t="e">
        <f>H29+J29+L29</f>
        <v>#VALUE!</v>
      </c>
    </row>
    <row r="30" ht="12">
      <c r="F30">
        <f>IF(F20="Hilliard",2,"")</f>
      </c>
    </row>
  </sheetData>
  <sheetProtection/>
  <mergeCells count="23">
    <mergeCell ref="F23:G23"/>
    <mergeCell ref="F28:G28"/>
    <mergeCell ref="F25:G25"/>
    <mergeCell ref="F26:G26"/>
    <mergeCell ref="F27:G27"/>
    <mergeCell ref="H11:I11"/>
    <mergeCell ref="J11:K11"/>
    <mergeCell ref="F15:G15"/>
    <mergeCell ref="F16:G16"/>
    <mergeCell ref="F17:G17"/>
    <mergeCell ref="F18:G18"/>
    <mergeCell ref="F14:G14"/>
    <mergeCell ref="F13:G13"/>
    <mergeCell ref="B3:D3"/>
    <mergeCell ref="B14:C14"/>
    <mergeCell ref="B12:D12"/>
    <mergeCell ref="B17:D17"/>
    <mergeCell ref="B9:D9"/>
    <mergeCell ref="F24:G24"/>
    <mergeCell ref="F21:G21"/>
    <mergeCell ref="F19:G19"/>
    <mergeCell ref="F20:G20"/>
    <mergeCell ref="F22:G2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Columbus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kpkelley</dc:creator>
  <cp:keywords/>
  <dc:description/>
  <cp:lastModifiedBy>Oehler, Susan M.</cp:lastModifiedBy>
  <cp:lastPrinted>2010-04-19T19:29:48Z</cp:lastPrinted>
  <dcterms:created xsi:type="dcterms:W3CDTF">2007-12-11T17:59:29Z</dcterms:created>
  <dcterms:modified xsi:type="dcterms:W3CDTF">2022-12-30T16:05:30Z</dcterms:modified>
  <cp:category/>
  <cp:version/>
  <cp:contentType/>
  <cp:contentStatus/>
</cp:coreProperties>
</file>